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440" windowHeight="122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9" i="2"/>
  <c r="E55"/>
  <c r="D67" i="1"/>
  <c r="I76" s="1"/>
  <c r="I78" s="1"/>
  <c r="E16" s="1"/>
  <c r="D102"/>
  <c r="J7" s="1"/>
  <c r="J10" s="1"/>
  <c r="E76"/>
  <c r="E78" s="1"/>
  <c r="J24"/>
  <c r="D20" l="1"/>
  <c r="J8"/>
  <c r="J14"/>
  <c r="J26"/>
  <c r="D112" s="1"/>
  <c r="J12" s="1"/>
  <c r="J16" l="1"/>
  <c r="J18" s="1"/>
  <c r="E81"/>
  <c r="J20"/>
  <c r="J22" l="1"/>
  <c r="I81"/>
  <c r="J28"/>
  <c r="J32"/>
  <c r="J34" l="1"/>
  <c r="J38"/>
  <c r="J36" s="1"/>
  <c r="J30"/>
</calcChain>
</file>

<file path=xl/sharedStrings.xml><?xml version="1.0" encoding="utf-8"?>
<sst xmlns="http://schemas.openxmlformats.org/spreadsheetml/2006/main" count="42" uniqueCount="40">
  <si>
    <t>Conductor diameter (inches)</t>
  </si>
  <si>
    <t>Loop inductance (μH)   =</t>
  </si>
  <si>
    <t>Frequency (Mhz)</t>
  </si>
  <si>
    <t xml:space="preserve">Loop inductive reactance (ohms) = </t>
  </si>
  <si>
    <t>Total Capacitance to resonate (pf) =</t>
  </si>
  <si>
    <t>Est Radiation resistance (ohms) =</t>
  </si>
  <si>
    <t>Antenna Q =</t>
  </si>
  <si>
    <t xml:space="preserve">Antenna Bandwidth (Khz) = </t>
  </si>
  <si>
    <t>Ant Distributed capacitance (pf) =</t>
  </si>
  <si>
    <t>Required added capacitiance (pf) =</t>
  </si>
  <si>
    <t xml:space="preserve">               Input values</t>
  </si>
  <si>
    <t xml:space="preserve">                Calculated values</t>
  </si>
  <si>
    <t xml:space="preserve">                  Circular Loop</t>
  </si>
  <si>
    <t>Est total Loss Resistance (ohms) =</t>
  </si>
  <si>
    <t xml:space="preserve"> Loop diameter (inches)</t>
  </si>
  <si>
    <t>Standard / Butterfly Capacitor (S / B)</t>
  </si>
  <si>
    <t>Q Std</t>
  </si>
  <si>
    <t>Q But</t>
  </si>
  <si>
    <t xml:space="preserve">Estimated Capacitor Q </t>
  </si>
  <si>
    <t>Butterfly</t>
  </si>
  <si>
    <t>Peak Capacitor potential (volts) =</t>
  </si>
  <si>
    <t>HF Small Loop Antenna design using copper radiator</t>
  </si>
  <si>
    <t>Equiv Parallel Resist  (Kohms) =</t>
  </si>
  <si>
    <t>Est Loop Copper Loss (Watts) =</t>
  </si>
  <si>
    <t>Est Capacitor Loss (Watts) =</t>
  </si>
  <si>
    <t>** Min Capacitor plate spacing (in) =</t>
  </si>
  <si>
    <t xml:space="preserve">  **  Adds 1.5:1 safety factor at 50 Kv / inch</t>
  </si>
  <si>
    <t xml:space="preserve"> Antenna efficiency (percent) = </t>
  </si>
  <si>
    <t>Transmitter power (watts)</t>
  </si>
  <si>
    <t>RMS Loop current (amps) =</t>
  </si>
  <si>
    <t xml:space="preserve">* Estimated Free Space gain (dBi) = </t>
  </si>
  <si>
    <t xml:space="preserve">     * Referenced to an Isotropic Radiator</t>
  </si>
  <si>
    <t>Q rad</t>
  </si>
  <si>
    <t>Q eff (dB)</t>
  </si>
  <si>
    <t>Capacitance (pf)</t>
  </si>
  <si>
    <t xml:space="preserve">Measured / Estimated Q for 360 pf Variable Capacitor in tuned loop vs Capcitance </t>
  </si>
  <si>
    <t>Measurement freq</t>
  </si>
  <si>
    <t>Single</t>
  </si>
  <si>
    <t>Loop Freq (MHz)</t>
  </si>
  <si>
    <t>s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</si>
</sst>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5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Cambria"/>
      <family val="1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ck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Border="1"/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5" xfId="0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left"/>
    </xf>
    <xf numFmtId="2" fontId="0" fillId="0" borderId="0" xfId="0" applyNumberFormat="1" applyFill="1" applyBorder="1" applyAlignment="1" applyProtection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6" xfId="0" applyBorder="1"/>
    <xf numFmtId="0" fontId="0" fillId="0" borderId="7" xfId="0" applyFill="1" applyBorder="1" applyAlignment="1">
      <alignment horizontal="left"/>
    </xf>
    <xf numFmtId="0" fontId="0" fillId="0" borderId="7" xfId="0" applyBorder="1"/>
    <xf numFmtId="0" fontId="3" fillId="0" borderId="0" xfId="0" applyFont="1"/>
    <xf numFmtId="0" fontId="2" fillId="0" borderId="0" xfId="0" applyFont="1" applyBorder="1"/>
    <xf numFmtId="0" fontId="4" fillId="0" borderId="0" xfId="0" applyFont="1" applyAlignment="1" applyProtection="1">
      <alignment horizontal="left"/>
      <protection locked="0"/>
    </xf>
    <xf numFmtId="0" fontId="0" fillId="0" borderId="8" xfId="0" applyBorder="1"/>
    <xf numFmtId="0" fontId="0" fillId="0" borderId="9" xfId="0" applyBorder="1"/>
    <xf numFmtId="0" fontId="0" fillId="0" borderId="0" xfId="0" applyProtection="1"/>
    <xf numFmtId="0" fontId="0" fillId="0" borderId="0" xfId="0" applyAlignment="1" applyProtection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2" xfId="0" applyFont="1" applyBorder="1"/>
    <xf numFmtId="0" fontId="3" fillId="0" borderId="0" xfId="0" applyFont="1" applyBorder="1"/>
    <xf numFmtId="0" fontId="8" fillId="0" borderId="10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Protection="1"/>
    <xf numFmtId="164" fontId="2" fillId="0" borderId="0" xfId="0" applyNumberFormat="1" applyFont="1" applyFill="1" applyBorder="1" applyAlignment="1" applyProtection="1">
      <alignment horizontal="left"/>
    </xf>
    <xf numFmtId="0" fontId="2" fillId="0" borderId="5" xfId="0" applyFont="1" applyBorder="1"/>
    <xf numFmtId="0" fontId="2" fillId="0" borderId="0" xfId="0" applyFont="1"/>
    <xf numFmtId="165" fontId="2" fillId="0" borderId="0" xfId="0" applyNumberFormat="1" applyFont="1" applyFill="1" applyBorder="1" applyAlignment="1">
      <alignment horizontal="left"/>
    </xf>
    <xf numFmtId="0" fontId="2" fillId="0" borderId="7" xfId="0" applyFont="1" applyBorder="1"/>
    <xf numFmtId="2" fontId="2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0" xfId="0" applyAlignment="1" applyProtection="1">
      <alignment horizontal="center"/>
      <protection locked="0"/>
    </xf>
    <xf numFmtId="0" fontId="2" fillId="0" borderId="11" xfId="0" applyFont="1" applyFill="1" applyBorder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/>
    <xf numFmtId="0" fontId="0" fillId="0" borderId="16" xfId="0" applyBorder="1"/>
    <xf numFmtId="0" fontId="0" fillId="0" borderId="4" xfId="0" applyBorder="1" applyProtection="1"/>
    <xf numFmtId="0" fontId="0" fillId="0" borderId="5" xfId="0" applyBorder="1" applyAlignment="1" applyProtection="1">
      <alignment horizontal="left"/>
    </xf>
    <xf numFmtId="0" fontId="0" fillId="0" borderId="17" xfId="0" applyBorder="1"/>
    <xf numFmtId="0" fontId="8" fillId="0" borderId="18" xfId="0" applyFont="1" applyFill="1" applyBorder="1"/>
    <xf numFmtId="0" fontId="0" fillId="0" borderId="19" xfId="0" applyFill="1" applyBorder="1" applyAlignment="1" applyProtection="1">
      <alignment horizontal="left"/>
      <protection locked="0"/>
    </xf>
    <xf numFmtId="0" fontId="9" fillId="0" borderId="11" xfId="0" applyFont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</xf>
    <xf numFmtId="0" fontId="11" fillId="0" borderId="0" xfId="0" applyFont="1"/>
    <xf numFmtId="0" fontId="0" fillId="0" borderId="20" xfId="0" applyBorder="1" applyAlignment="1">
      <alignment horizontal="center"/>
    </xf>
    <xf numFmtId="0" fontId="12" fillId="0" borderId="0" xfId="0" applyFont="1" applyBorder="1"/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5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2" xfId="0" applyFont="1" applyBorder="1"/>
    <xf numFmtId="0" fontId="0" fillId="0" borderId="4" xfId="0" applyFill="1" applyBorder="1"/>
    <xf numFmtId="0" fontId="2" fillId="0" borderId="18" xfId="0" applyFont="1" applyFill="1" applyBorder="1"/>
    <xf numFmtId="0" fontId="2" fillId="0" borderId="18" xfId="0" applyFont="1" applyFill="1" applyBorder="1" applyAlignment="1">
      <alignment horizontal="left"/>
    </xf>
    <xf numFmtId="0" fontId="0" fillId="0" borderId="17" xfId="0" applyFill="1" applyBorder="1"/>
    <xf numFmtId="0" fontId="2" fillId="0" borderId="19" xfId="0" applyFont="1" applyFill="1" applyBorder="1"/>
    <xf numFmtId="0" fontId="2" fillId="0" borderId="18" xfId="0" applyFont="1" applyBorder="1"/>
    <xf numFmtId="0" fontId="0" fillId="0" borderId="26" xfId="0" applyBorder="1"/>
    <xf numFmtId="0" fontId="2" fillId="0" borderId="27" xfId="0" applyFont="1" applyBorder="1"/>
    <xf numFmtId="0" fontId="2" fillId="0" borderId="28" xfId="0" applyFont="1" applyBorder="1"/>
    <xf numFmtId="2" fontId="2" fillId="0" borderId="27" xfId="0" applyNumberFormat="1" applyFont="1" applyBorder="1" applyAlignment="1">
      <alignment horizontal="left"/>
    </xf>
    <xf numFmtId="0" fontId="0" fillId="0" borderId="28" xfId="0" applyBorder="1"/>
    <xf numFmtId="0" fontId="2" fillId="0" borderId="2" xfId="0" applyFont="1" applyBorder="1" applyAlignment="1">
      <alignment horizontal="left"/>
    </xf>
    <xf numFmtId="0" fontId="0" fillId="3" borderId="20" xfId="0" applyFill="1" applyBorder="1" applyAlignment="1">
      <alignment horizontal="center"/>
    </xf>
    <xf numFmtId="1" fontId="0" fillId="3" borderId="22" xfId="0" applyNumberFormat="1" applyFill="1" applyBorder="1" applyAlignment="1" applyProtection="1">
      <alignment horizontal="center"/>
    </xf>
    <xf numFmtId="1" fontId="0" fillId="3" borderId="21" xfId="0" applyNumberForma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0" fillId="0" borderId="0" xfId="0" applyFill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10" fillId="0" borderId="32" xfId="0" applyFont="1" applyBorder="1" applyAlignment="1" applyProtection="1">
      <alignment horizontal="center"/>
    </xf>
    <xf numFmtId="0" fontId="10" fillId="0" borderId="33" xfId="0" applyFont="1" applyBorder="1" applyAlignment="1">
      <alignment horizontal="center"/>
    </xf>
    <xf numFmtId="2" fontId="0" fillId="0" borderId="34" xfId="0" applyNumberFormat="1" applyBorder="1" applyAlignment="1" applyProtection="1">
      <alignment horizontal="center"/>
    </xf>
    <xf numFmtId="0" fontId="0" fillId="0" borderId="35" xfId="0" applyBorder="1" applyAlignment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>
      <alignment horizontal="center"/>
    </xf>
    <xf numFmtId="1" fontId="0" fillId="0" borderId="4" xfId="0" applyNumberFormat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32" xfId="0" applyBorder="1" applyAlignment="1" applyProtection="1">
      <alignment horizontal="center"/>
    </xf>
    <xf numFmtId="2" fontId="0" fillId="0" borderId="34" xfId="0" applyNumberFormat="1" applyBorder="1" applyProtection="1"/>
    <xf numFmtId="2" fontId="0" fillId="0" borderId="35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" fontId="0" fillId="0" borderId="22" xfId="0" applyNumberFormat="1" applyFill="1" applyBorder="1" applyAlignment="1" applyProtection="1">
      <alignment horizontal="center"/>
    </xf>
    <xf numFmtId="0" fontId="2" fillId="0" borderId="0" xfId="0" applyFont="1" applyFill="1"/>
    <xf numFmtId="1" fontId="0" fillId="0" borderId="36" xfId="0" applyNumberFormat="1" applyFill="1" applyBorder="1" applyAlignment="1">
      <alignment horizontal="center"/>
    </xf>
    <xf numFmtId="0" fontId="0" fillId="0" borderId="37" xfId="0" applyBorder="1"/>
    <xf numFmtId="0" fontId="14" fillId="0" borderId="3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9" xfId="0" applyNumberFormat="1" applyFill="1" applyBorder="1" applyAlignment="1" applyProtection="1">
      <alignment horizontal="center"/>
    </xf>
    <xf numFmtId="1" fontId="0" fillId="0" borderId="40" xfId="0" applyNumberFormat="1" applyFill="1" applyBorder="1" applyAlignment="1">
      <alignment horizontal="center"/>
    </xf>
    <xf numFmtId="0" fontId="0" fillId="0" borderId="41" xfId="0" applyBorder="1"/>
    <xf numFmtId="0" fontId="14" fillId="0" borderId="4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" fontId="10" fillId="0" borderId="2" xfId="0" applyNumberFormat="1" applyFont="1" applyFill="1" applyBorder="1" applyAlignment="1" applyProtection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1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/>
    <xf numFmtId="0" fontId="14" fillId="0" borderId="3" xfId="0" applyFont="1" applyBorder="1"/>
    <xf numFmtId="0" fontId="0" fillId="0" borderId="34" xfId="0" applyBorder="1" applyAlignment="1">
      <alignment horizontal="center"/>
    </xf>
    <xf numFmtId="1" fontId="0" fillId="0" borderId="47" xfId="0" applyNumberFormat="1" applyFill="1" applyBorder="1" applyAlignment="1" applyProtection="1">
      <alignment horizontal="center"/>
    </xf>
    <xf numFmtId="1" fontId="0" fillId="0" borderId="48" xfId="0" applyNumberFormat="1" applyFill="1" applyBorder="1" applyAlignment="1">
      <alignment horizontal="center"/>
    </xf>
    <xf numFmtId="0" fontId="0" fillId="0" borderId="49" xfId="0" applyBorder="1"/>
    <xf numFmtId="0" fontId="14" fillId="0" borderId="28" xfId="0" applyFont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0" fillId="0" borderId="51" xfId="0" applyFill="1" applyBorder="1"/>
    <xf numFmtId="0" fontId="14" fillId="0" borderId="52" xfId="0" applyFont="1" applyFill="1" applyBorder="1" applyAlignment="1">
      <alignment horizontal="center"/>
    </xf>
    <xf numFmtId="1" fontId="0" fillId="0" borderId="53" xfId="0" applyNumberFormat="1" applyFill="1" applyBorder="1" applyAlignment="1" applyProtection="1">
      <alignment horizontal="center"/>
    </xf>
    <xf numFmtId="1" fontId="0" fillId="0" borderId="53" xfId="0" applyNumberFormat="1" applyFill="1" applyBorder="1" applyAlignment="1">
      <alignment horizontal="center"/>
    </xf>
    <xf numFmtId="2" fontId="2" fillId="4" borderId="54" xfId="0" applyNumberFormat="1" applyFont="1" applyFill="1" applyBorder="1" applyAlignment="1">
      <alignment horizontal="left"/>
    </xf>
    <xf numFmtId="0" fontId="2" fillId="4" borderId="5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8044125237483386E-2"/>
          <c:y val="0.15502781189048631"/>
          <c:w val="0.80313094721221756"/>
          <c:h val="0.70202220135327165"/>
        </c:manualLayout>
      </c:layout>
      <c:scatterChart>
        <c:scatterStyle val="smoothMarker"/>
        <c:ser>
          <c:idx val="1"/>
          <c:order val="0"/>
          <c:tx>
            <c:v>Single stator capacitor</c:v>
          </c:tx>
          <c:marker>
            <c:symbol val="none"/>
          </c:marker>
          <c:xVal>
            <c:numRef>
              <c:f>Sheet2!$D$5:$D$21</c:f>
              <c:numCache>
                <c:formatCode>General</c:formatCode>
                <c:ptCount val="17"/>
                <c:pt idx="0">
                  <c:v>298</c:v>
                </c:pt>
                <c:pt idx="1">
                  <c:v>220</c:v>
                </c:pt>
                <c:pt idx="2">
                  <c:v>164</c:v>
                </c:pt>
                <c:pt idx="3">
                  <c:v>128</c:v>
                </c:pt>
                <c:pt idx="4">
                  <c:v>102</c:v>
                </c:pt>
                <c:pt idx="5">
                  <c:v>83</c:v>
                </c:pt>
                <c:pt idx="6">
                  <c:v>68</c:v>
                </c:pt>
                <c:pt idx="7">
                  <c:v>57</c:v>
                </c:pt>
                <c:pt idx="8">
                  <c:v>48</c:v>
                </c:pt>
                <c:pt idx="9">
                  <c:v>40</c:v>
                </c:pt>
                <c:pt idx="10">
                  <c:v>35</c:v>
                </c:pt>
                <c:pt idx="11">
                  <c:v>29.5</c:v>
                </c:pt>
                <c:pt idx="12">
                  <c:v>25</c:v>
                </c:pt>
                <c:pt idx="13">
                  <c:v>22</c:v>
                </c:pt>
                <c:pt idx="14">
                  <c:v>19</c:v>
                </c:pt>
                <c:pt idx="15">
                  <c:v>16.5</c:v>
                </c:pt>
                <c:pt idx="16">
                  <c:v>15</c:v>
                </c:pt>
              </c:numCache>
            </c:numRef>
          </c:xVal>
          <c:yVal>
            <c:numRef>
              <c:f>Sheet2!$F$5:$F$21</c:f>
              <c:numCache>
                <c:formatCode>0</c:formatCode>
                <c:ptCount val="17"/>
                <c:pt idx="0">
                  <c:v>2010</c:v>
                </c:pt>
                <c:pt idx="1">
                  <c:v>1950</c:v>
                </c:pt>
                <c:pt idx="2">
                  <c:v>1890</c:v>
                </c:pt>
                <c:pt idx="3">
                  <c:v>1830</c:v>
                </c:pt>
                <c:pt idx="4">
                  <c:v>1760</c:v>
                </c:pt>
                <c:pt idx="5">
                  <c:v>1690</c:v>
                </c:pt>
                <c:pt idx="6">
                  <c:v>1610</c:v>
                </c:pt>
                <c:pt idx="7">
                  <c:v>1530</c:v>
                </c:pt>
                <c:pt idx="8">
                  <c:v>1460</c:v>
                </c:pt>
                <c:pt idx="9">
                  <c:v>1380</c:v>
                </c:pt>
                <c:pt idx="10">
                  <c:v>1300</c:v>
                </c:pt>
                <c:pt idx="11">
                  <c:v>1220</c:v>
                </c:pt>
                <c:pt idx="12">
                  <c:v>1140</c:v>
                </c:pt>
                <c:pt idx="13">
                  <c:v>1060</c:v>
                </c:pt>
                <c:pt idx="14">
                  <c:v>989.50524737631179</c:v>
                </c:pt>
                <c:pt idx="15">
                  <c:v>920</c:v>
                </c:pt>
                <c:pt idx="16">
                  <c:v>850</c:v>
                </c:pt>
              </c:numCache>
            </c:numRef>
          </c:yVal>
          <c:smooth val="1"/>
        </c:ser>
        <c:ser>
          <c:idx val="0"/>
          <c:order val="1"/>
          <c:tx>
            <c:v>Split stator Butterfly Capacitor</c:v>
          </c:tx>
          <c:marker>
            <c:symbol val="none"/>
          </c:marker>
          <c:xVal>
            <c:numRef>
              <c:f>Sheet2!$D$5:$D$21</c:f>
              <c:numCache>
                <c:formatCode>General</c:formatCode>
                <c:ptCount val="17"/>
                <c:pt idx="0">
                  <c:v>298</c:v>
                </c:pt>
                <c:pt idx="1">
                  <c:v>220</c:v>
                </c:pt>
                <c:pt idx="2">
                  <c:v>164</c:v>
                </c:pt>
                <c:pt idx="3">
                  <c:v>128</c:v>
                </c:pt>
                <c:pt idx="4">
                  <c:v>102</c:v>
                </c:pt>
                <c:pt idx="5">
                  <c:v>83</c:v>
                </c:pt>
                <c:pt idx="6">
                  <c:v>68</c:v>
                </c:pt>
                <c:pt idx="7">
                  <c:v>57</c:v>
                </c:pt>
                <c:pt idx="8">
                  <c:v>48</c:v>
                </c:pt>
                <c:pt idx="9">
                  <c:v>40</c:v>
                </c:pt>
                <c:pt idx="10">
                  <c:v>35</c:v>
                </c:pt>
                <c:pt idx="11">
                  <c:v>29.5</c:v>
                </c:pt>
                <c:pt idx="12">
                  <c:v>25</c:v>
                </c:pt>
                <c:pt idx="13">
                  <c:v>22</c:v>
                </c:pt>
                <c:pt idx="14">
                  <c:v>19</c:v>
                </c:pt>
                <c:pt idx="15">
                  <c:v>16.5</c:v>
                </c:pt>
                <c:pt idx="16">
                  <c:v>15</c:v>
                </c:pt>
              </c:numCache>
            </c:numRef>
          </c:xVal>
          <c:yVal>
            <c:numRef>
              <c:f>Sheet2!$E$5:$E$21</c:f>
              <c:numCache>
                <c:formatCode>0</c:formatCode>
                <c:ptCount val="17"/>
                <c:pt idx="0">
                  <c:v>3070</c:v>
                </c:pt>
                <c:pt idx="1">
                  <c:v>3000</c:v>
                </c:pt>
                <c:pt idx="2">
                  <c:v>2910</c:v>
                </c:pt>
                <c:pt idx="3">
                  <c:v>2820</c:v>
                </c:pt>
                <c:pt idx="4">
                  <c:v>2710</c:v>
                </c:pt>
                <c:pt idx="5">
                  <c:v>2600</c:v>
                </c:pt>
                <c:pt idx="6">
                  <c:v>2470</c:v>
                </c:pt>
                <c:pt idx="7">
                  <c:v>2350</c:v>
                </c:pt>
                <c:pt idx="8">
                  <c:v>2210</c:v>
                </c:pt>
                <c:pt idx="9">
                  <c:v>2080</c:v>
                </c:pt>
                <c:pt idx="10">
                  <c:v>1940</c:v>
                </c:pt>
                <c:pt idx="11">
                  <c:v>1800</c:v>
                </c:pt>
                <c:pt idx="12">
                  <c:v>1670</c:v>
                </c:pt>
                <c:pt idx="13">
                  <c:v>1530</c:v>
                </c:pt>
                <c:pt idx="14">
                  <c:v>1400</c:v>
                </c:pt>
                <c:pt idx="15">
                  <c:v>1280</c:v>
                </c:pt>
                <c:pt idx="16">
                  <c:v>1160</c:v>
                </c:pt>
              </c:numCache>
            </c:numRef>
          </c:yVal>
          <c:smooth val="1"/>
        </c:ser>
        <c:axId val="59174912"/>
        <c:axId val="59177216"/>
      </c:scatterChart>
      <c:valAx>
        <c:axId val="59174912"/>
        <c:scaling>
          <c:orientation val="minMax"/>
          <c:max val="360"/>
          <c:min val="15"/>
        </c:scaling>
        <c:axPos val="b"/>
        <c:majorGridlines>
          <c:spPr>
            <a:ln w="15875"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Capacitance</a:t>
                </a:r>
                <a:r>
                  <a:rPr lang="en-US" baseline="0"/>
                  <a:t> (pf)</a:t>
                </a:r>
              </a:p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27764242704956016"/>
              <c:y val="0.91579110303519795"/>
            </c:manualLayout>
          </c:layout>
        </c:title>
        <c:numFmt formatCode="General" sourceLinked="1"/>
        <c:tickLblPos val="nextTo"/>
        <c:spPr>
          <a:ln w="1587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177216"/>
        <c:crosses val="autoZero"/>
        <c:crossBetween val="midCat"/>
        <c:majorUnit val="50"/>
        <c:minorUnit val="10"/>
      </c:valAx>
      <c:valAx>
        <c:axId val="59177216"/>
        <c:scaling>
          <c:orientation val="minMax"/>
        </c:scaling>
        <c:axPos val="l"/>
        <c:majorGridlines/>
        <c:minorGridlines>
          <c:spPr>
            <a:ln>
              <a:prstDash val="sysDash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Q</a:t>
                </a:r>
              </a:p>
            </c:rich>
          </c:tx>
          <c:layout/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174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5932861333509817"/>
          <c:y val="1.8665006617762537E-2"/>
          <c:w val="0.19996537197556191"/>
          <c:h val="0.1007656414743030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2028825</xdr:colOff>
      <xdr:row>3</xdr:row>
      <xdr:rowOff>152400</xdr:rowOff>
    </xdr:from>
    <xdr:to>
      <xdr:col>4</xdr:col>
      <xdr:colOff>561975</xdr:colOff>
      <xdr:row>3</xdr:row>
      <xdr:rowOff>161925</xdr:rowOff>
    </xdr:to>
    <xdr:cxnSp macro="">
      <xdr:nvCxnSpPr>
        <xdr:cNvPr id="3" name="Straight Connector 2"/>
        <xdr:cNvCxnSpPr/>
      </xdr:nvCxnSpPr>
      <xdr:spPr>
        <a:xfrm>
          <a:off x="2247900" y="781050"/>
          <a:ext cx="1190625" cy="95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3</xdr:row>
      <xdr:rowOff>161926</xdr:rowOff>
    </xdr:from>
    <xdr:to>
      <xdr:col>4</xdr:col>
      <xdr:colOff>561975</xdr:colOff>
      <xdr:row>4</xdr:row>
      <xdr:rowOff>190501</xdr:rowOff>
    </xdr:to>
    <xdr:cxnSp macro="">
      <xdr:nvCxnSpPr>
        <xdr:cNvPr id="5" name="Straight Arrow Connector 4"/>
        <xdr:cNvCxnSpPr/>
      </xdr:nvCxnSpPr>
      <xdr:spPr>
        <a:xfrm rot="5400000">
          <a:off x="3224213" y="842963"/>
          <a:ext cx="266700" cy="161925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3</xdr:row>
      <xdr:rowOff>0</xdr:rowOff>
    </xdr:from>
    <xdr:to>
      <xdr:col>26</xdr:col>
      <xdr:colOff>428625</xdr:colOff>
      <xdr:row>29</xdr:row>
      <xdr:rowOff>180975</xdr:rowOff>
    </xdr:to>
    <xdr:graphicFrame macro="">
      <xdr:nvGraphicFramePr>
        <xdr:cNvPr id="20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0.22632</cdr:x>
      <cdr:y>0.01308</cdr:y>
    </cdr:from>
    <cdr:to>
      <cdr:x>0.33228</cdr:x>
      <cdr:y>0.225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41457" y="54323"/>
          <a:ext cx="955778" cy="88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200" b="1" i="0" baseline="0"/>
            <a:t>Capacitor Q vs Capacitance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13"/>
  <sheetViews>
    <sheetView showGridLines="0" tabSelected="1" workbookViewId="0">
      <selection activeCell="E13" sqref="E13"/>
    </sheetView>
  </sheetViews>
  <sheetFormatPr defaultRowHeight="12.75"/>
  <cols>
    <col min="1" max="1" width="1.140625" customWidth="1"/>
    <col min="2" max="2" width="0.7109375" customWidth="1"/>
    <col min="3" max="3" width="1.42578125" customWidth="1"/>
    <col min="4" max="4" width="39.85546875" customWidth="1"/>
    <col min="5" max="5" width="11" customWidth="1"/>
    <col min="6" max="6" width="0.85546875" customWidth="1"/>
    <col min="7" max="7" width="1" customWidth="1"/>
    <col min="8" max="8" width="2.140625" customWidth="1"/>
    <col min="9" max="9" width="40.140625" customWidth="1"/>
    <col min="10" max="10" width="12.85546875" customWidth="1"/>
    <col min="11" max="11" width="1.140625" customWidth="1"/>
    <col min="12" max="12" width="36.85546875" customWidth="1"/>
    <col min="13" max="13" width="3.28515625" customWidth="1"/>
    <col min="14" max="14" width="40" customWidth="1"/>
    <col min="15" max="15" width="11.85546875" customWidth="1"/>
    <col min="16" max="16" width="0.7109375" customWidth="1"/>
    <col min="17" max="17" width="4.5703125" customWidth="1"/>
    <col min="18" max="18" width="9.85546875" customWidth="1"/>
    <col min="19" max="19" width="39.5703125" customWidth="1"/>
    <col min="20" max="20" width="28" customWidth="1"/>
    <col min="21" max="21" width="5.42578125" customWidth="1"/>
  </cols>
  <sheetData>
    <row r="2" spans="2:21" ht="23.25">
      <c r="I2" s="34" t="s">
        <v>21</v>
      </c>
      <c r="J2" s="24"/>
      <c r="K2" s="24"/>
      <c r="L2" s="24"/>
    </row>
    <row r="3" spans="2:21" ht="13.5" thickBot="1"/>
    <row r="4" spans="2:21" ht="18.75" thickTop="1">
      <c r="C4" s="6"/>
      <c r="D4" s="35" t="s">
        <v>10</v>
      </c>
      <c r="E4" s="7"/>
      <c r="F4" s="8"/>
      <c r="H4" s="6"/>
      <c r="I4" s="35" t="s">
        <v>11</v>
      </c>
      <c r="J4" s="7"/>
      <c r="K4" s="8"/>
      <c r="M4" s="10"/>
      <c r="N4" s="36"/>
      <c r="O4" s="10"/>
      <c r="P4" s="10"/>
      <c r="Q4" s="10"/>
      <c r="R4" s="10"/>
      <c r="S4" s="25"/>
      <c r="T4" s="10"/>
      <c r="U4" s="10"/>
    </row>
    <row r="5" spans="2:21" ht="18">
      <c r="C5" s="9"/>
      <c r="D5" s="25"/>
      <c r="E5" s="25"/>
      <c r="F5" s="11"/>
      <c r="H5" s="9"/>
      <c r="I5" s="36" t="s">
        <v>12</v>
      </c>
      <c r="J5" s="10"/>
      <c r="K5" s="11"/>
      <c r="M5" s="10"/>
      <c r="N5" s="36"/>
      <c r="O5" s="10"/>
      <c r="P5" s="10"/>
      <c r="Q5" s="10"/>
      <c r="R5" s="10"/>
      <c r="S5" s="10"/>
      <c r="T5" s="10"/>
      <c r="U5" s="10"/>
    </row>
    <row r="6" spans="2:21" ht="15.75">
      <c r="C6" s="9"/>
      <c r="D6" s="38" t="s">
        <v>14</v>
      </c>
      <c r="E6" s="70">
        <v>42</v>
      </c>
      <c r="F6" s="12"/>
      <c r="G6" s="4"/>
      <c r="H6" s="9"/>
      <c r="I6" s="10"/>
      <c r="J6" s="10"/>
      <c r="K6" s="11"/>
      <c r="M6" s="10"/>
      <c r="N6" s="10"/>
      <c r="O6" s="10"/>
      <c r="P6" s="10"/>
      <c r="Q6" s="10"/>
      <c r="R6" s="10"/>
      <c r="S6" s="10"/>
      <c r="T6" s="10"/>
      <c r="U6" s="10"/>
    </row>
    <row r="7" spans="2:21" ht="15.75">
      <c r="C7" s="21"/>
      <c r="D7" s="37"/>
      <c r="E7" s="71"/>
      <c r="F7" s="22"/>
      <c r="G7" s="5"/>
      <c r="H7" s="9"/>
      <c r="I7" s="41" t="s">
        <v>1</v>
      </c>
      <c r="J7" s="42">
        <f>IF(D102&gt;0.095,"****",(E6/200)*(7.353*LOG((8*E6)/E8) - 6.386))</f>
        <v>2.2880284725503302</v>
      </c>
      <c r="K7" s="43"/>
      <c r="L7" s="44"/>
      <c r="M7" s="25"/>
      <c r="N7" s="41"/>
      <c r="O7" s="42"/>
      <c r="P7" s="10"/>
      <c r="Q7" s="10"/>
      <c r="R7" s="10"/>
      <c r="S7" s="15"/>
      <c r="T7" s="16"/>
      <c r="U7" s="10"/>
    </row>
    <row r="8" spans="2:21" ht="15.75">
      <c r="C8" s="9"/>
      <c r="D8" s="38" t="s">
        <v>0</v>
      </c>
      <c r="E8" s="70">
        <v>1.5</v>
      </c>
      <c r="F8" s="12"/>
      <c r="G8" s="4"/>
      <c r="H8" s="9"/>
      <c r="I8" s="38" t="s">
        <v>3</v>
      </c>
      <c r="J8" s="45">
        <f>IF(D102&gt;0.095,"****",2*PI()*E10*J7)</f>
        <v>100.6327481679575</v>
      </c>
      <c r="K8" s="43"/>
      <c r="L8" s="44"/>
      <c r="M8" s="25"/>
      <c r="N8" s="38"/>
      <c r="O8" s="45"/>
      <c r="P8" s="10"/>
      <c r="Q8" s="10"/>
      <c r="R8" s="10"/>
      <c r="S8" s="3"/>
      <c r="T8" s="19"/>
      <c r="U8" s="10"/>
    </row>
    <row r="9" spans="2:21" ht="15.75">
      <c r="C9" s="21"/>
      <c r="D9" s="39"/>
      <c r="E9" s="72"/>
      <c r="F9" s="22"/>
      <c r="G9" s="5"/>
      <c r="H9" s="21"/>
      <c r="I9" s="39"/>
      <c r="J9" s="40"/>
      <c r="K9" s="46"/>
      <c r="L9" s="44"/>
      <c r="M9" s="25"/>
      <c r="N9" s="38"/>
      <c r="O9" s="51"/>
      <c r="P9" s="10"/>
      <c r="Q9" s="10"/>
      <c r="R9" s="10"/>
      <c r="S9" s="3"/>
      <c r="T9" s="14"/>
      <c r="U9" s="10"/>
    </row>
    <row r="10" spans="2:21" ht="15.75">
      <c r="C10" s="9"/>
      <c r="D10" s="38" t="s">
        <v>2</v>
      </c>
      <c r="E10" s="73">
        <v>7</v>
      </c>
      <c r="F10" s="12"/>
      <c r="G10" s="4"/>
      <c r="H10" s="9"/>
      <c r="I10" s="38" t="s">
        <v>4</v>
      </c>
      <c r="J10" s="47">
        <f>IF(D102&gt;0.095,"****",(1/((4*PI()^2)*E10^2*1000000000000*J7*0.000001))*1000000000000)</f>
        <v>225.93460732834131</v>
      </c>
      <c r="K10" s="43"/>
      <c r="L10" s="44"/>
      <c r="M10" s="25"/>
      <c r="N10" s="38"/>
      <c r="O10" s="47"/>
      <c r="P10" s="10"/>
      <c r="Q10" s="10"/>
      <c r="R10" s="10"/>
      <c r="S10" s="3"/>
      <c r="T10" s="17"/>
      <c r="U10" s="10"/>
    </row>
    <row r="11" spans="2:21" ht="15.75">
      <c r="C11" s="21"/>
      <c r="D11" s="39"/>
      <c r="E11" s="72"/>
      <c r="F11" s="23"/>
      <c r="H11" s="21"/>
      <c r="I11" s="39"/>
      <c r="J11" s="40"/>
      <c r="K11" s="46"/>
      <c r="L11" s="44"/>
      <c r="M11" s="25"/>
      <c r="N11" s="38"/>
      <c r="O11" s="51"/>
      <c r="P11" s="10"/>
      <c r="Q11" s="10"/>
      <c r="R11" s="10"/>
      <c r="S11" s="3"/>
      <c r="T11" s="14"/>
      <c r="U11" s="10"/>
    </row>
    <row r="12" spans="2:21" ht="15.75">
      <c r="C12" s="27"/>
      <c r="D12" s="58" t="s">
        <v>28</v>
      </c>
      <c r="E12" s="74">
        <v>30</v>
      </c>
      <c r="F12" s="28"/>
      <c r="H12" s="9"/>
      <c r="I12" s="38" t="s">
        <v>13</v>
      </c>
      <c r="J12" s="48">
        <f>IF(D102&gt;0.095,"****",9.96*0.0001*(E10)^0.5*(((E6/12*PI()))/E8)+D112)</f>
        <v>7.301395681613207E-2</v>
      </c>
      <c r="K12" s="43"/>
      <c r="L12" s="44"/>
      <c r="M12" s="25"/>
      <c r="N12" s="38"/>
      <c r="O12" s="48"/>
      <c r="P12" s="10"/>
      <c r="Q12" s="10"/>
      <c r="R12" s="10"/>
      <c r="S12" s="3"/>
      <c r="T12" s="20"/>
      <c r="U12" s="10"/>
    </row>
    <row r="13" spans="2:21" ht="15.75">
      <c r="C13" s="9"/>
      <c r="D13" s="25"/>
      <c r="E13" s="70"/>
      <c r="F13" s="11"/>
      <c r="H13" s="21"/>
      <c r="I13" s="39"/>
      <c r="J13" s="39"/>
      <c r="K13" s="46"/>
      <c r="L13" s="44"/>
      <c r="M13" s="25"/>
      <c r="N13" s="38"/>
      <c r="O13" s="38"/>
      <c r="P13" s="10"/>
      <c r="Q13" s="10"/>
      <c r="R13" s="10"/>
      <c r="S13" s="3"/>
      <c r="T13" s="3"/>
      <c r="U13" s="10"/>
    </row>
    <row r="14" spans="2:21" ht="15.75">
      <c r="C14" s="62"/>
      <c r="D14" s="69" t="s">
        <v>15</v>
      </c>
      <c r="E14" s="74" t="s">
        <v>39</v>
      </c>
      <c r="F14" s="63"/>
      <c r="H14" s="9"/>
      <c r="I14" s="38" t="s">
        <v>5</v>
      </c>
      <c r="J14" s="49">
        <f>IF(D102&gt;0.095,"****",(3.38*0.00000001*(E10^4)*(((PI()*E6^2/4))/144)^2))</f>
        <v>7.5120903119138523E-3</v>
      </c>
      <c r="K14" s="43"/>
      <c r="L14" s="44"/>
      <c r="M14" s="25"/>
      <c r="N14" s="38"/>
      <c r="O14" s="49"/>
      <c r="P14" s="10"/>
      <c r="Q14" s="10"/>
      <c r="R14" s="10"/>
      <c r="S14" s="3"/>
      <c r="T14" s="20"/>
      <c r="U14" s="10"/>
    </row>
    <row r="15" spans="2:21" ht="15.75">
      <c r="C15" s="66"/>
      <c r="D15" s="67"/>
      <c r="E15" s="75"/>
      <c r="F15" s="68"/>
      <c r="G15" s="4"/>
      <c r="H15" s="21"/>
      <c r="I15" s="39"/>
      <c r="J15" s="40"/>
      <c r="K15" s="46"/>
      <c r="L15" s="44"/>
      <c r="M15" s="25"/>
      <c r="N15" s="38"/>
      <c r="O15" s="51"/>
      <c r="P15" s="10"/>
      <c r="Q15" s="10"/>
      <c r="R15" s="10"/>
      <c r="S15" s="3"/>
      <c r="T15" s="14"/>
      <c r="U15" s="10"/>
    </row>
    <row r="16" spans="2:21" ht="15.75">
      <c r="B16" s="29"/>
      <c r="C16" s="64"/>
      <c r="D16" s="55" t="s">
        <v>18</v>
      </c>
      <c r="E16" s="76">
        <f>IF(E14="s",I78,E78)</f>
        <v>1950</v>
      </c>
      <c r="F16" s="65"/>
      <c r="G16" s="2"/>
      <c r="H16" s="9"/>
      <c r="I16" s="38" t="s">
        <v>27</v>
      </c>
      <c r="J16" s="50">
        <f>IF(D102&gt;0.095,"****",(J14/(J14+J12))*100)</f>
        <v>9.328770726779549</v>
      </c>
      <c r="K16" s="43"/>
      <c r="L16" s="44"/>
      <c r="M16" s="25"/>
      <c r="N16" s="38"/>
      <c r="O16" s="50"/>
      <c r="P16" s="10"/>
      <c r="Q16" s="10"/>
      <c r="R16" s="10"/>
      <c r="S16" s="3"/>
      <c r="T16" s="18"/>
      <c r="U16" s="10"/>
    </row>
    <row r="17" spans="2:21" ht="16.5" thickBot="1">
      <c r="B17" s="29"/>
      <c r="C17" s="61"/>
      <c r="D17" s="59"/>
      <c r="E17" s="59"/>
      <c r="F17" s="60"/>
      <c r="H17" s="21"/>
      <c r="I17" s="39"/>
      <c r="J17" s="40"/>
      <c r="K17" s="46"/>
      <c r="L17" s="44"/>
      <c r="M17" s="25"/>
      <c r="N17" s="38"/>
      <c r="O17" s="51"/>
      <c r="P17" s="10"/>
      <c r="Q17" s="10"/>
      <c r="R17" s="10"/>
      <c r="S17" s="3"/>
      <c r="T17" s="14"/>
      <c r="U17" s="10"/>
    </row>
    <row r="18" spans="2:21" ht="16.5" thickTop="1">
      <c r="B18" s="29"/>
      <c r="C18" s="29"/>
      <c r="D18" s="29"/>
      <c r="E18" s="30"/>
      <c r="F18" s="30"/>
      <c r="G18" s="2"/>
      <c r="H18" s="9"/>
      <c r="I18" s="38" t="s">
        <v>30</v>
      </c>
      <c r="J18" s="50">
        <f>IF(D102&gt;0.095,"****",10*LOG(1 * J16/100)+1.81)</f>
        <v>-8.4917558044956127</v>
      </c>
      <c r="K18" s="43"/>
      <c r="L18" s="44" t="s">
        <v>31</v>
      </c>
      <c r="M18" s="25"/>
      <c r="N18" s="38"/>
      <c r="O18" s="50"/>
      <c r="P18" s="10"/>
      <c r="Q18" s="10"/>
      <c r="R18" s="10"/>
      <c r="S18" s="3"/>
      <c r="T18" s="18"/>
      <c r="U18" s="10"/>
    </row>
    <row r="19" spans="2:21" ht="15.75">
      <c r="B19" s="29"/>
      <c r="C19" s="29"/>
      <c r="D19" s="57"/>
      <c r="E19" s="30"/>
      <c r="F19" s="30"/>
      <c r="G19" s="2"/>
      <c r="H19" s="21"/>
      <c r="I19" s="39"/>
      <c r="J19" s="40"/>
      <c r="K19" s="46"/>
      <c r="L19" s="44"/>
      <c r="M19" s="25"/>
      <c r="N19" s="38"/>
      <c r="O19" s="51"/>
      <c r="P19" s="10"/>
      <c r="Q19" s="10"/>
      <c r="R19" s="10"/>
      <c r="S19" s="3"/>
      <c r="T19" s="14"/>
      <c r="U19" s="10"/>
    </row>
    <row r="20" spans="2:21" ht="18.75">
      <c r="B20" s="29"/>
      <c r="C20" s="29"/>
      <c r="D20" s="32" t="str">
        <f>IF(E10&gt;30,"Maximum Frequency is 30 MHz",IF(D102&gt;0.095,"Reduce Frequency or Loop Diameter",""))</f>
        <v/>
      </c>
      <c r="E20" s="30"/>
      <c r="F20" s="30"/>
      <c r="G20" s="2"/>
      <c r="H20" s="9"/>
      <c r="I20" s="38" t="s">
        <v>6</v>
      </c>
      <c r="J20" s="45">
        <f>IF(D102 &gt; 0.095,"****",(J8/(1*(J14+J12)))/2)</f>
        <v>624.84594585860862</v>
      </c>
      <c r="K20" s="43"/>
      <c r="L20" s="44"/>
      <c r="M20" s="25"/>
      <c r="N20" s="38"/>
      <c r="O20" s="45"/>
      <c r="P20" s="10"/>
      <c r="Q20" s="10"/>
      <c r="R20" s="10"/>
      <c r="S20" s="3"/>
      <c r="T20" s="19"/>
      <c r="U20" s="10"/>
    </row>
    <row r="21" spans="2:21" ht="15.75">
      <c r="B21" s="29"/>
      <c r="C21" s="29"/>
      <c r="D21" s="29"/>
      <c r="E21" s="30"/>
      <c r="F21" s="30"/>
      <c r="G21" s="2"/>
      <c r="H21" s="21"/>
      <c r="I21" s="39"/>
      <c r="J21" s="40"/>
      <c r="K21" s="46"/>
      <c r="L21" s="44"/>
      <c r="M21" s="25"/>
      <c r="N21" s="38"/>
      <c r="O21" s="51"/>
      <c r="P21" s="10"/>
      <c r="Q21" s="10"/>
      <c r="R21" s="10"/>
      <c r="S21" s="3"/>
      <c r="T21" s="14"/>
      <c r="U21" s="10"/>
    </row>
    <row r="22" spans="2:21" ht="15.75">
      <c r="B22" s="29"/>
      <c r="C22" s="29"/>
      <c r="D22" s="29"/>
      <c r="E22" s="30"/>
      <c r="F22" s="30"/>
      <c r="G22" s="2"/>
      <c r="H22" s="9"/>
      <c r="I22" s="38" t="s">
        <v>7</v>
      </c>
      <c r="J22" s="45">
        <f>IF(D102&gt;0.095,"****",(E10*1000000/J20)/1000)</f>
        <v>11.202761330844858</v>
      </c>
      <c r="K22" s="43"/>
      <c r="L22" s="44"/>
      <c r="M22" s="25"/>
      <c r="N22" s="38"/>
      <c r="O22" s="45"/>
      <c r="P22" s="10"/>
      <c r="Q22" s="10"/>
      <c r="R22" s="10"/>
      <c r="S22" s="3"/>
      <c r="T22" s="19"/>
      <c r="U22" s="10"/>
    </row>
    <row r="23" spans="2:21" ht="15.75">
      <c r="B23" s="29"/>
      <c r="C23" s="29"/>
      <c r="D23" s="29"/>
      <c r="E23" s="30"/>
      <c r="F23" s="30"/>
      <c r="G23" s="2"/>
      <c r="H23" s="21"/>
      <c r="I23" s="39"/>
      <c r="J23" s="40"/>
      <c r="K23" s="46"/>
      <c r="L23" s="44"/>
      <c r="M23" s="25"/>
      <c r="N23" s="38"/>
      <c r="O23" s="51"/>
      <c r="P23" s="10"/>
      <c r="Q23" s="10"/>
      <c r="R23" s="10"/>
      <c r="S23" s="3"/>
      <c r="T23" s="14"/>
      <c r="U23" s="10"/>
    </row>
    <row r="24" spans="2:21" ht="15.75">
      <c r="B24" s="29"/>
      <c r="C24" s="29"/>
      <c r="D24" s="29"/>
      <c r="E24" s="30"/>
      <c r="F24" s="30"/>
      <c r="G24" s="2"/>
      <c r="H24" s="9"/>
      <c r="I24" s="38" t="s">
        <v>8</v>
      </c>
      <c r="J24" s="50">
        <f>IF(D102&gt;0.095,"****",0.8 *3.14159265*E6/12)</f>
        <v>8.7964594199999997</v>
      </c>
      <c r="K24" s="43"/>
      <c r="L24" s="44"/>
      <c r="M24" s="25"/>
      <c r="N24" s="38"/>
      <c r="O24" s="50"/>
      <c r="P24" s="10"/>
      <c r="Q24" s="10"/>
      <c r="R24" s="10"/>
      <c r="S24" s="3"/>
      <c r="T24" s="18"/>
      <c r="U24" s="10"/>
    </row>
    <row r="25" spans="2:21" ht="15.75">
      <c r="B25" s="29"/>
      <c r="C25" s="29"/>
      <c r="D25" s="29"/>
      <c r="E25" s="30"/>
      <c r="F25" s="30"/>
      <c r="G25" s="2"/>
      <c r="H25" s="21"/>
      <c r="I25" s="39"/>
      <c r="J25" s="40"/>
      <c r="K25" s="46"/>
      <c r="L25" s="44"/>
      <c r="M25" s="25"/>
      <c r="N25" s="38"/>
      <c r="O25" s="51"/>
      <c r="P25" s="10"/>
      <c r="Q25" s="10"/>
      <c r="R25" s="10"/>
      <c r="S25" s="3"/>
      <c r="T25" s="14"/>
      <c r="U25" s="10"/>
    </row>
    <row r="26" spans="2:21" ht="15.75">
      <c r="B26" s="29"/>
      <c r="C26" s="29"/>
      <c r="D26" s="29"/>
      <c r="E26" s="30"/>
      <c r="F26" s="30"/>
      <c r="G26" s="2"/>
      <c r="H26" s="9"/>
      <c r="I26" s="38" t="s">
        <v>9</v>
      </c>
      <c r="J26" s="50">
        <f>IF(D102&gt;0.095,"****",J10-J24)</f>
        <v>217.13814790834132</v>
      </c>
      <c r="K26" s="43"/>
      <c r="L26" s="44"/>
      <c r="M26" s="25"/>
      <c r="N26" s="38"/>
      <c r="O26" s="50"/>
      <c r="P26" s="10"/>
      <c r="Q26" s="10"/>
      <c r="R26" s="10"/>
      <c r="S26" s="3"/>
      <c r="T26" s="18"/>
      <c r="U26" s="10"/>
    </row>
    <row r="27" spans="2:21" ht="15.75">
      <c r="B27" s="29"/>
      <c r="C27" s="29"/>
      <c r="D27" s="29"/>
      <c r="E27" s="30"/>
      <c r="F27" s="30"/>
      <c r="G27" s="2"/>
      <c r="H27" s="21"/>
      <c r="I27" s="39"/>
      <c r="J27" s="40"/>
      <c r="K27" s="46"/>
      <c r="L27" s="56"/>
      <c r="M27" s="55"/>
      <c r="N27" s="54"/>
      <c r="O27" s="51"/>
      <c r="P27" s="10"/>
      <c r="Q27" s="10"/>
      <c r="R27" s="10"/>
      <c r="S27" s="3"/>
      <c r="T27" s="14"/>
      <c r="U27" s="10"/>
    </row>
    <row r="28" spans="2:21" ht="15.75">
      <c r="B28" s="29"/>
      <c r="C28" s="29"/>
      <c r="D28" s="29"/>
      <c r="E28" s="30"/>
      <c r="F28" s="30"/>
      <c r="G28" s="2"/>
      <c r="H28" s="9"/>
      <c r="I28" s="38" t="s">
        <v>20</v>
      </c>
      <c r="J28" s="45">
        <f>IF(D102&gt;0.095,"****",1.414*(E12*J8*J20)^0.5)</f>
        <v>1942.0758218568365</v>
      </c>
      <c r="K28" s="43"/>
      <c r="L28" s="44"/>
      <c r="M28" s="25"/>
      <c r="N28" s="38"/>
      <c r="O28" s="45"/>
      <c r="P28" s="10"/>
      <c r="Q28" s="10"/>
      <c r="R28" s="10"/>
      <c r="S28" s="3"/>
      <c r="T28" s="19"/>
      <c r="U28" s="10"/>
    </row>
    <row r="29" spans="2:21" ht="15.75">
      <c r="B29" s="29"/>
      <c r="C29" s="29"/>
      <c r="D29" s="29"/>
      <c r="E29" s="30"/>
      <c r="F29" s="30"/>
      <c r="G29" s="2"/>
      <c r="H29" s="21"/>
      <c r="I29" s="39"/>
      <c r="J29" s="40"/>
      <c r="K29" s="46"/>
      <c r="L29" s="44"/>
      <c r="M29" s="25"/>
      <c r="N29" s="38"/>
      <c r="O29" s="51"/>
      <c r="P29" s="10"/>
      <c r="Q29" s="10"/>
      <c r="R29" s="10"/>
      <c r="S29" s="3"/>
      <c r="T29" s="14"/>
      <c r="U29" s="10"/>
    </row>
    <row r="30" spans="2:21" ht="15.75">
      <c r="B30" s="29"/>
      <c r="C30" s="29"/>
      <c r="D30" s="29"/>
      <c r="E30" s="30"/>
      <c r="F30" s="30"/>
      <c r="G30" s="2"/>
      <c r="H30" s="9"/>
      <c r="I30" s="38" t="s">
        <v>25</v>
      </c>
      <c r="J30" s="50">
        <f>IF(D102&gt;0.095,"****",1.5*J28/50000)</f>
        <v>5.8262274655705097E-2</v>
      </c>
      <c r="K30" s="43"/>
      <c r="L30" s="44" t="s">
        <v>26</v>
      </c>
      <c r="M30" s="25"/>
      <c r="N30" s="38"/>
      <c r="O30" s="50"/>
      <c r="P30" s="10"/>
      <c r="Q30" s="10"/>
      <c r="R30" s="10"/>
      <c r="S30" s="3"/>
      <c r="T30" s="18"/>
      <c r="U30" s="10"/>
    </row>
    <row r="31" spans="2:21" ht="15.75">
      <c r="B31" s="29"/>
      <c r="C31" s="29"/>
      <c r="D31" s="29"/>
      <c r="E31" s="30"/>
      <c r="F31" s="30"/>
      <c r="G31" s="2"/>
      <c r="H31" s="96"/>
      <c r="I31" s="94"/>
      <c r="J31" s="95"/>
      <c r="K31" s="97"/>
      <c r="L31" s="44"/>
      <c r="M31" s="25"/>
      <c r="N31" s="25"/>
      <c r="O31" s="51"/>
      <c r="P31" s="10"/>
      <c r="Q31" s="10"/>
      <c r="R31" s="10"/>
      <c r="S31" s="10"/>
      <c r="T31" s="14"/>
      <c r="U31" s="10"/>
    </row>
    <row r="32" spans="2:21" ht="15.75">
      <c r="B32" s="29"/>
      <c r="C32" s="29"/>
      <c r="D32" s="29"/>
      <c r="E32" s="30"/>
      <c r="F32" s="30"/>
      <c r="G32" s="2"/>
      <c r="H32" s="93"/>
      <c r="I32" s="38" t="s">
        <v>22</v>
      </c>
      <c r="J32" s="168">
        <f>IF(D102&gt;0.095,"****",(J8*J20)/1000)</f>
        <v>62.879964713358568</v>
      </c>
      <c r="K32" s="169"/>
      <c r="L32" s="44"/>
      <c r="M32" s="25"/>
      <c r="N32" s="25"/>
      <c r="O32" s="52"/>
      <c r="P32" s="10"/>
      <c r="Q32" s="10"/>
      <c r="R32" s="10"/>
      <c r="S32" s="10"/>
      <c r="T32" s="13"/>
      <c r="U32" s="10"/>
    </row>
    <row r="33" spans="2:17" ht="15.75">
      <c r="B33" s="29"/>
      <c r="C33" s="29"/>
      <c r="D33" s="29"/>
      <c r="E33" s="30"/>
      <c r="F33" s="30"/>
      <c r="G33" s="2"/>
      <c r="H33" s="66"/>
      <c r="I33" s="98"/>
      <c r="J33" s="52"/>
      <c r="K33" s="43"/>
      <c r="L33" s="44"/>
      <c r="M33" s="25"/>
      <c r="N33" s="25"/>
      <c r="O33" s="25"/>
      <c r="P33" s="10"/>
      <c r="Q33" s="10"/>
    </row>
    <row r="34" spans="2:17" ht="15.75">
      <c r="B34" s="29"/>
      <c r="C34" s="29"/>
      <c r="D34" s="29"/>
      <c r="E34" s="30"/>
      <c r="F34" s="30"/>
      <c r="G34" s="2"/>
      <c r="H34" s="99"/>
      <c r="I34" s="100" t="s">
        <v>29</v>
      </c>
      <c r="J34" s="102">
        <f>IF(D102&gt;0.095,"****",J28/1.414/(1/(2*PI()*E10*1000000*(J26+J24)*0.000000000001)))</f>
        <v>13.648264771650149</v>
      </c>
      <c r="K34" s="101"/>
      <c r="L34" s="44"/>
      <c r="M34" s="25"/>
      <c r="N34" s="25"/>
      <c r="O34" s="53"/>
      <c r="P34" s="10"/>
      <c r="Q34" s="10"/>
    </row>
    <row r="35" spans="2:17">
      <c r="B35" s="29"/>
      <c r="C35" s="29"/>
      <c r="D35" s="29"/>
      <c r="E35" s="30"/>
      <c r="F35" s="30"/>
      <c r="G35" s="2"/>
      <c r="H35" s="9"/>
      <c r="I35" s="10"/>
      <c r="J35" s="13"/>
      <c r="K35" s="11"/>
    </row>
    <row r="36" spans="2:17" ht="15.75">
      <c r="B36" s="29"/>
      <c r="C36" s="29"/>
      <c r="D36" s="29"/>
      <c r="E36" s="30"/>
      <c r="F36" s="30"/>
      <c r="G36" s="2"/>
      <c r="H36" s="99"/>
      <c r="I36" s="100" t="s">
        <v>23</v>
      </c>
      <c r="J36" s="102">
        <f>IF(D102&gt;0.095,"****",(E12-J38-E12*J16/100))</f>
        <v>17.591257360689841</v>
      </c>
      <c r="K36" s="103"/>
    </row>
    <row r="37" spans="2:17" ht="18.75">
      <c r="B37" s="29"/>
      <c r="C37" s="29"/>
      <c r="D37" s="29"/>
      <c r="E37" s="30"/>
      <c r="F37" s="30"/>
      <c r="G37" s="2"/>
      <c r="H37" s="9"/>
      <c r="I37" s="25"/>
      <c r="J37" s="91"/>
      <c r="K37" s="88"/>
      <c r="L37" s="33"/>
    </row>
    <row r="38" spans="2:17" ht="16.5" thickBot="1">
      <c r="B38" s="29"/>
      <c r="C38" s="29"/>
      <c r="D38" s="29"/>
      <c r="E38" s="30"/>
      <c r="F38" s="30"/>
      <c r="G38" s="2"/>
      <c r="H38" s="9"/>
      <c r="I38" s="25" t="s">
        <v>24</v>
      </c>
      <c r="J38" s="90">
        <f>IF(D102&gt;0.095,"****",(0.5*J28^2/(E16*J8)))</f>
        <v>9.6101114212762937</v>
      </c>
      <c r="K38" s="11"/>
    </row>
    <row r="39" spans="2:17" ht="16.5" thickTop="1">
      <c r="B39" s="29"/>
      <c r="C39" s="29"/>
      <c r="D39" s="29"/>
      <c r="E39" s="30"/>
      <c r="F39" s="30"/>
      <c r="G39" s="2"/>
      <c r="H39" s="7"/>
      <c r="I39" s="92"/>
      <c r="J39" s="104"/>
      <c r="K39" s="7"/>
    </row>
    <row r="40" spans="2:17" ht="15.75">
      <c r="B40" s="29"/>
      <c r="C40" s="29"/>
      <c r="D40" s="29"/>
      <c r="E40" s="30"/>
      <c r="F40" s="30"/>
      <c r="G40" s="2"/>
      <c r="H40" s="10"/>
      <c r="I40" s="25"/>
      <c r="J40" s="89"/>
      <c r="K40" s="10"/>
    </row>
    <row r="41" spans="2:17" ht="15.75">
      <c r="B41" s="29"/>
      <c r="C41" s="29"/>
      <c r="D41" s="29"/>
      <c r="E41" s="30"/>
      <c r="F41" s="29"/>
      <c r="G41" s="2"/>
      <c r="H41" s="10"/>
      <c r="I41" s="25"/>
      <c r="J41" s="89"/>
      <c r="K41" s="10"/>
    </row>
    <row r="42" spans="2:17" ht="15.75">
      <c r="B42" s="29"/>
      <c r="C42" s="29"/>
      <c r="D42" s="29"/>
      <c r="E42" s="30"/>
      <c r="F42" s="30"/>
      <c r="G42" s="2"/>
      <c r="H42" s="10"/>
      <c r="I42" s="25"/>
      <c r="J42" s="89"/>
      <c r="K42" s="10"/>
    </row>
    <row r="43" spans="2:17" ht="15.75">
      <c r="B43" s="29"/>
      <c r="C43" s="29"/>
      <c r="D43" s="29"/>
      <c r="E43" s="30"/>
      <c r="F43" s="30"/>
      <c r="G43" s="2"/>
      <c r="H43" s="10"/>
      <c r="I43" s="25"/>
      <c r="J43" s="89"/>
      <c r="K43" s="10"/>
    </row>
    <row r="44" spans="2:17" ht="15.75">
      <c r="B44" s="29"/>
      <c r="C44" s="29"/>
      <c r="D44" s="29"/>
      <c r="E44" s="30"/>
      <c r="F44" s="30"/>
      <c r="G44" s="2"/>
      <c r="H44" s="10"/>
      <c r="I44" s="25"/>
      <c r="J44" s="89"/>
      <c r="K44" s="10"/>
    </row>
    <row r="45" spans="2:17" ht="15.75">
      <c r="B45" s="29"/>
      <c r="C45" s="29"/>
      <c r="D45" s="29"/>
      <c r="E45" s="30"/>
      <c r="F45" s="30"/>
      <c r="G45" s="2"/>
      <c r="H45" s="10"/>
      <c r="I45" s="25"/>
      <c r="J45" s="89"/>
      <c r="K45" s="10"/>
    </row>
    <row r="46" spans="2:17" ht="15.75">
      <c r="B46" s="29"/>
      <c r="C46" s="29"/>
      <c r="D46" s="29"/>
      <c r="E46" s="30"/>
      <c r="F46" s="30"/>
      <c r="G46" s="2"/>
      <c r="H46" s="10"/>
      <c r="I46" s="25"/>
      <c r="J46" s="89"/>
      <c r="K46" s="10"/>
    </row>
    <row r="47" spans="2:17" ht="15.75">
      <c r="B47" s="29"/>
      <c r="C47" s="29"/>
      <c r="D47" s="29"/>
      <c r="E47" s="30"/>
      <c r="F47" s="30"/>
      <c r="G47" s="2"/>
      <c r="H47" s="10"/>
      <c r="I47" s="25"/>
      <c r="J47" s="89"/>
      <c r="K47" s="10"/>
    </row>
    <row r="48" spans="2:17">
      <c r="B48" s="29"/>
      <c r="C48" s="29"/>
      <c r="D48" s="29"/>
      <c r="E48" s="30"/>
      <c r="F48" s="30"/>
      <c r="G48" s="2"/>
      <c r="H48" s="10"/>
      <c r="I48" s="10"/>
      <c r="J48" s="10"/>
      <c r="K48" s="10"/>
    </row>
    <row r="49" spans="2:6">
      <c r="B49" s="29"/>
      <c r="C49" s="29"/>
      <c r="D49" s="29"/>
      <c r="E49" s="29"/>
      <c r="F49" s="29"/>
    </row>
    <row r="50" spans="2:6">
      <c r="B50" s="29"/>
      <c r="C50" s="29"/>
      <c r="D50" s="29"/>
      <c r="E50" s="29"/>
      <c r="F50" s="29"/>
    </row>
    <row r="51" spans="2:6">
      <c r="B51" s="29"/>
      <c r="C51" s="29"/>
      <c r="D51" s="29"/>
      <c r="E51" s="29"/>
      <c r="F51" s="29"/>
    </row>
    <row r="52" spans="2:6">
      <c r="B52" s="29"/>
      <c r="C52" s="29"/>
      <c r="D52" s="29"/>
      <c r="E52" s="29"/>
      <c r="F52" s="29"/>
    </row>
    <row r="53" spans="2:6">
      <c r="B53" s="29"/>
      <c r="C53" s="29"/>
      <c r="D53" s="29"/>
      <c r="E53" s="29"/>
      <c r="F53" s="29"/>
    </row>
    <row r="54" spans="2:6">
      <c r="B54" s="29"/>
      <c r="C54" s="29"/>
      <c r="D54" s="29"/>
      <c r="E54" s="29"/>
      <c r="F54" s="29"/>
    </row>
    <row r="55" spans="2:6">
      <c r="B55" s="29"/>
      <c r="C55" s="29"/>
      <c r="D55" s="29"/>
      <c r="E55" s="29"/>
      <c r="F55" s="29"/>
    </row>
    <row r="56" spans="2:6">
      <c r="B56" s="29"/>
      <c r="C56" s="29"/>
      <c r="D56" s="29"/>
      <c r="E56" s="29"/>
      <c r="F56" s="29"/>
    </row>
    <row r="57" spans="2:6">
      <c r="B57" s="29"/>
      <c r="C57" s="29"/>
      <c r="D57" s="29"/>
      <c r="E57" s="29"/>
      <c r="F57" s="29"/>
    </row>
    <row r="58" spans="2:6">
      <c r="B58" s="29"/>
      <c r="C58" s="29"/>
      <c r="D58" s="29"/>
      <c r="E58" s="29"/>
      <c r="F58" s="29"/>
    </row>
    <row r="59" spans="2:6">
      <c r="B59" s="29"/>
      <c r="C59" s="29"/>
      <c r="D59" s="29"/>
      <c r="E59" s="29"/>
      <c r="F59" s="29"/>
    </row>
    <row r="60" spans="2:6">
      <c r="B60" s="29"/>
      <c r="C60" s="29"/>
      <c r="D60" s="29"/>
      <c r="E60" s="29"/>
      <c r="F60" s="29"/>
    </row>
    <row r="61" spans="2:6">
      <c r="B61" s="29"/>
      <c r="C61" s="29"/>
      <c r="D61" s="29"/>
      <c r="E61" s="29"/>
      <c r="F61" s="29"/>
    </row>
    <row r="62" spans="2:6">
      <c r="B62" s="29"/>
      <c r="C62" s="29"/>
      <c r="D62" s="29"/>
      <c r="E62" s="29"/>
      <c r="F62" s="29"/>
    </row>
    <row r="63" spans="2:6">
      <c r="B63" s="29"/>
      <c r="C63" s="29"/>
      <c r="D63" s="29"/>
      <c r="E63" s="29"/>
      <c r="F63" s="29"/>
    </row>
    <row r="64" spans="2:6">
      <c r="B64" s="29"/>
      <c r="C64" s="29"/>
      <c r="D64" s="29"/>
      <c r="E64" s="29"/>
      <c r="F64" s="29"/>
    </row>
    <row r="65" spans="2:9">
      <c r="B65" s="29"/>
      <c r="C65" s="29"/>
      <c r="D65" s="29"/>
      <c r="E65" s="29"/>
      <c r="F65" s="29"/>
    </row>
    <row r="66" spans="2:9">
      <c r="B66" s="29"/>
      <c r="C66" s="29"/>
      <c r="D66" s="29"/>
      <c r="E66" s="29"/>
      <c r="F66" s="29"/>
    </row>
    <row r="67" spans="2:9">
      <c r="B67" s="29"/>
      <c r="C67" s="29"/>
      <c r="D67" s="29">
        <f>E10</f>
        <v>7</v>
      </c>
      <c r="E67" s="29"/>
      <c r="F67" s="29"/>
    </row>
    <row r="68" spans="2:9">
      <c r="B68" s="29"/>
      <c r="C68" s="29"/>
      <c r="D68" s="29"/>
      <c r="E68" s="29"/>
      <c r="F68" s="29"/>
    </row>
    <row r="69" spans="2:9">
      <c r="B69" s="29"/>
      <c r="C69" s="29"/>
      <c r="D69" s="29"/>
      <c r="E69" s="29"/>
      <c r="F69" s="29"/>
    </row>
    <row r="70" spans="2:9">
      <c r="B70" s="29"/>
      <c r="C70" s="29"/>
      <c r="D70" s="29"/>
      <c r="E70" s="29"/>
      <c r="F70" s="29"/>
    </row>
    <row r="71" spans="2:9">
      <c r="B71" s="29"/>
      <c r="C71" s="29"/>
      <c r="D71" s="29"/>
      <c r="E71" s="29"/>
      <c r="F71" s="29"/>
    </row>
    <row r="72" spans="2:9">
      <c r="B72" s="29"/>
      <c r="C72" s="29"/>
      <c r="D72" s="29"/>
      <c r="E72" s="29"/>
      <c r="F72" s="29"/>
    </row>
    <row r="73" spans="2:9" ht="13.5" thickBot="1">
      <c r="B73" s="29"/>
      <c r="C73" s="29"/>
      <c r="D73" s="29"/>
      <c r="E73" s="29"/>
      <c r="F73" s="29"/>
    </row>
    <row r="74" spans="2:9" ht="13.5" thickTop="1">
      <c r="B74" s="29"/>
      <c r="C74" s="29"/>
      <c r="D74" s="29"/>
      <c r="E74" s="116"/>
      <c r="F74" s="117"/>
      <c r="G74" s="7"/>
      <c r="H74" s="7"/>
      <c r="I74" s="8"/>
    </row>
    <row r="75" spans="2:9">
      <c r="B75" s="29"/>
      <c r="C75" s="29"/>
      <c r="D75" s="29"/>
      <c r="E75" s="118" t="s">
        <v>17</v>
      </c>
      <c r="F75" s="113"/>
      <c r="G75" s="114"/>
      <c r="H75" s="114"/>
      <c r="I75" s="119" t="s">
        <v>16</v>
      </c>
    </row>
    <row r="76" spans="2:9">
      <c r="B76" s="29"/>
      <c r="C76" s="29"/>
      <c r="D76" s="29"/>
      <c r="E76" s="120">
        <f>IF(D67&gt;30,1150,0.5*(0.342*D67^3-16.64*D67^2+65.98*D67+4687))*1.35</f>
        <v>3004.2940500000004</v>
      </c>
      <c r="F76" s="113"/>
      <c r="G76" s="114"/>
      <c r="H76" s="114"/>
      <c r="I76" s="121">
        <f>(0.104*D67^3-4.791*D67^2-5.798*D67+2196)*1</f>
        <v>1956.327</v>
      </c>
    </row>
    <row r="77" spans="2:9">
      <c r="B77" s="29"/>
      <c r="C77" s="29"/>
      <c r="D77" s="29"/>
      <c r="E77" s="122"/>
      <c r="F77" s="113"/>
      <c r="G77" s="114"/>
      <c r="H77" s="114"/>
      <c r="I77" s="123"/>
    </row>
    <row r="78" spans="2:9">
      <c r="B78" s="29"/>
      <c r="C78" s="29"/>
      <c r="D78" s="29"/>
      <c r="E78" s="124">
        <f>IF(E10&gt;30,"***",ROUNDDOWN(E76,-1))</f>
        <v>3000</v>
      </c>
      <c r="F78" s="113"/>
      <c r="G78" s="114"/>
      <c r="H78" s="114"/>
      <c r="I78" s="125">
        <f>IF(E10&gt;30,"***",ROUNDDOWN(I76,-1))</f>
        <v>1950</v>
      </c>
    </row>
    <row r="79" spans="2:9">
      <c r="B79" s="29"/>
      <c r="C79" s="29"/>
      <c r="D79" s="29"/>
      <c r="E79" s="9"/>
      <c r="F79" s="113"/>
      <c r="G79" s="114"/>
      <c r="H79" s="114"/>
      <c r="I79" s="123"/>
    </row>
    <row r="80" spans="2:9">
      <c r="B80" s="29"/>
      <c r="C80" s="29"/>
      <c r="D80" s="29"/>
      <c r="E80" s="126" t="s">
        <v>32</v>
      </c>
      <c r="F80" s="113"/>
      <c r="G80" s="114"/>
      <c r="H80" s="114"/>
      <c r="I80" s="119" t="s">
        <v>33</v>
      </c>
    </row>
    <row r="81" spans="2:9">
      <c r="B81" s="29"/>
      <c r="C81" s="29"/>
      <c r="D81" s="29"/>
      <c r="E81" s="127">
        <f>IF(D102&gt;0.095,"****",J8/(2*J14))</f>
        <v>6698.0523389314349</v>
      </c>
      <c r="F81" s="115"/>
      <c r="G81" s="10"/>
      <c r="H81" s="13"/>
      <c r="I81" s="128">
        <f>IF(D102&gt;0.095,"****",10*LOG(J20/E81))</f>
        <v>-10.301755804495613</v>
      </c>
    </row>
    <row r="82" spans="2:9">
      <c r="B82" s="29"/>
      <c r="C82" s="29"/>
      <c r="D82" s="29"/>
      <c r="E82" s="64"/>
      <c r="F82" s="115"/>
      <c r="G82" s="10"/>
      <c r="H82" s="13"/>
      <c r="I82" s="129"/>
    </row>
    <row r="83" spans="2:9" ht="13.5" thickBot="1">
      <c r="B83" s="29"/>
      <c r="C83" s="29"/>
      <c r="D83" s="29"/>
      <c r="E83" s="61"/>
      <c r="F83" s="59"/>
      <c r="G83" s="130"/>
      <c r="H83" s="131"/>
      <c r="I83" s="132"/>
    </row>
    <row r="84" spans="2:9" ht="13.5" thickTop="1">
      <c r="D84" s="29"/>
      <c r="E84" s="29"/>
      <c r="H84" s="1"/>
      <c r="I84" s="1"/>
    </row>
    <row r="85" spans="2:9">
      <c r="D85" s="29"/>
      <c r="E85" s="29"/>
      <c r="H85" s="1"/>
      <c r="I85" s="1"/>
    </row>
    <row r="86" spans="2:9">
      <c r="D86" s="29"/>
      <c r="E86" s="29"/>
      <c r="H86" s="1"/>
      <c r="I86" s="1"/>
    </row>
    <row r="87" spans="2:9">
      <c r="D87" s="29"/>
      <c r="E87" s="29"/>
      <c r="H87" s="1"/>
      <c r="I87" s="1"/>
    </row>
    <row r="88" spans="2:9">
      <c r="D88" s="29"/>
      <c r="E88" s="29"/>
      <c r="H88" s="1"/>
      <c r="I88" s="1"/>
    </row>
    <row r="89" spans="2:9">
      <c r="D89" s="29"/>
      <c r="E89" s="29"/>
      <c r="H89" s="1"/>
      <c r="I89" s="1"/>
    </row>
    <row r="90" spans="2:9">
      <c r="D90" s="29"/>
      <c r="E90" s="29"/>
      <c r="H90" s="1"/>
      <c r="I90" s="1"/>
    </row>
    <row r="91" spans="2:9" ht="15.75">
      <c r="D91" s="29"/>
      <c r="E91" s="45"/>
      <c r="H91" s="1"/>
      <c r="I91" s="1"/>
    </row>
    <row r="102" spans="4:4">
      <c r="D102" s="31">
        <f>E6/(2*5506/E10)</f>
        <v>2.6698147475481295E-2</v>
      </c>
    </row>
    <row r="112" spans="4:4">
      <c r="D112" s="26">
        <f>(1/(2*PI()*E10*1000000*J26*0.000000000001))/E16</f>
        <v>5.3697164238210485E-2</v>
      </c>
    </row>
    <row r="113" spans="4:4">
      <c r="D113" s="26"/>
    </row>
  </sheetData>
  <sheetProtection sheet="1" objects="1" scenarios="1"/>
  <phoneticPr fontId="1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U84"/>
  <sheetViews>
    <sheetView showGridLines="0" workbookViewId="0">
      <selection activeCell="H26" sqref="H26"/>
    </sheetView>
  </sheetViews>
  <sheetFormatPr defaultRowHeight="12.75"/>
  <cols>
    <col min="1" max="2" width="1" customWidth="1"/>
    <col min="3" max="3" width="0.5703125" customWidth="1"/>
    <col min="4" max="4" width="15.85546875" customWidth="1"/>
    <col min="7" max="7" width="3" customWidth="1"/>
    <col min="8" max="8" width="14.5703125" customWidth="1"/>
    <col min="13" max="13" width="9.140625" customWidth="1"/>
    <col min="14" max="14" width="6.140625" customWidth="1"/>
    <col min="15" max="16" width="5.28515625" customWidth="1"/>
    <col min="17" max="17" width="4.42578125" customWidth="1"/>
    <col min="18" max="18" width="7.28515625" customWidth="1"/>
    <col min="19" max="19" width="5" customWidth="1"/>
    <col min="20" max="20" width="7.7109375" customWidth="1"/>
    <col min="21" max="21" width="9.140625" customWidth="1"/>
    <col min="22" max="22" width="5.85546875" customWidth="1"/>
    <col min="23" max="23" width="6.42578125" customWidth="1"/>
    <col min="24" max="24" width="4.28515625" customWidth="1"/>
    <col min="25" max="26" width="9.140625" customWidth="1"/>
  </cols>
  <sheetData>
    <row r="1" spans="4:8" ht="8.25" customHeight="1"/>
    <row r="2" spans="4:8" ht="15">
      <c r="E2" s="77" t="s">
        <v>35</v>
      </c>
    </row>
    <row r="3" spans="4:8" ht="13.5" thickBot="1"/>
    <row r="4" spans="4:8" ht="13.5" thickTop="1">
      <c r="D4" s="153" t="s">
        <v>34</v>
      </c>
      <c r="E4" s="154" t="s">
        <v>19</v>
      </c>
      <c r="F4" s="155" t="s">
        <v>37</v>
      </c>
      <c r="G4" s="156" t="s">
        <v>36</v>
      </c>
      <c r="H4" s="157"/>
    </row>
    <row r="5" spans="4:8">
      <c r="D5" s="163">
        <v>298</v>
      </c>
      <c r="E5" s="166">
        <v>3070</v>
      </c>
      <c r="F5" s="167">
        <v>2010</v>
      </c>
      <c r="G5" s="164"/>
      <c r="H5" s="165">
        <v>7</v>
      </c>
    </row>
    <row r="6" spans="4:8">
      <c r="D6" s="158">
        <v>220</v>
      </c>
      <c r="E6" s="159">
        <v>3000</v>
      </c>
      <c r="F6" s="160">
        <v>1950</v>
      </c>
      <c r="G6" s="161"/>
      <c r="H6" s="162">
        <v>7</v>
      </c>
    </row>
    <row r="7" spans="4:8">
      <c r="D7" s="78">
        <v>164</v>
      </c>
      <c r="E7" s="133">
        <v>2910</v>
      </c>
      <c r="F7" s="135">
        <v>1890</v>
      </c>
      <c r="G7" s="136"/>
      <c r="H7" s="137">
        <v>10</v>
      </c>
    </row>
    <row r="8" spans="4:8">
      <c r="D8" s="78">
        <v>128</v>
      </c>
      <c r="E8" s="133">
        <v>2820</v>
      </c>
      <c r="F8" s="135">
        <v>1830</v>
      </c>
      <c r="G8" s="136"/>
      <c r="H8" s="137">
        <v>10</v>
      </c>
    </row>
    <row r="9" spans="4:8">
      <c r="D9" s="78">
        <v>102</v>
      </c>
      <c r="E9" s="133">
        <v>2710</v>
      </c>
      <c r="F9" s="135">
        <v>1760</v>
      </c>
      <c r="G9" s="136"/>
      <c r="H9" s="137">
        <v>10</v>
      </c>
    </row>
    <row r="10" spans="4:8">
      <c r="D10" s="78">
        <v>83</v>
      </c>
      <c r="E10" s="133">
        <v>2600</v>
      </c>
      <c r="F10" s="135">
        <v>1690</v>
      </c>
      <c r="G10" s="136"/>
      <c r="H10" s="137">
        <v>12</v>
      </c>
    </row>
    <row r="11" spans="4:8">
      <c r="D11" s="78">
        <v>68</v>
      </c>
      <c r="E11" s="133">
        <v>2470</v>
      </c>
      <c r="F11" s="135">
        <v>1610</v>
      </c>
      <c r="G11" s="136"/>
      <c r="H11" s="137">
        <v>12</v>
      </c>
    </row>
    <row r="12" spans="4:8">
      <c r="D12" s="78">
        <v>57</v>
      </c>
      <c r="E12" s="133">
        <v>2350</v>
      </c>
      <c r="F12" s="135">
        <v>1530</v>
      </c>
      <c r="G12" s="136"/>
      <c r="H12" s="137">
        <v>14</v>
      </c>
    </row>
    <row r="13" spans="4:8">
      <c r="D13" s="78">
        <v>48</v>
      </c>
      <c r="E13" s="133">
        <v>2210</v>
      </c>
      <c r="F13" s="135">
        <v>1460</v>
      </c>
      <c r="G13" s="136"/>
      <c r="H13" s="137">
        <v>14</v>
      </c>
    </row>
    <row r="14" spans="4:8">
      <c r="D14" s="78">
        <v>40</v>
      </c>
      <c r="E14" s="133">
        <v>2080</v>
      </c>
      <c r="F14" s="135">
        <v>1380</v>
      </c>
      <c r="G14" s="136"/>
      <c r="H14" s="137">
        <v>14</v>
      </c>
    </row>
    <row r="15" spans="4:8">
      <c r="D15" s="78">
        <v>35</v>
      </c>
      <c r="E15" s="133">
        <v>1940</v>
      </c>
      <c r="F15" s="135">
        <v>1300</v>
      </c>
      <c r="G15" s="136"/>
      <c r="H15" s="137">
        <v>14</v>
      </c>
    </row>
    <row r="16" spans="4:8">
      <c r="D16" s="78">
        <v>29.5</v>
      </c>
      <c r="E16" s="133">
        <v>1800</v>
      </c>
      <c r="F16" s="135">
        <v>1220</v>
      </c>
      <c r="G16" s="136"/>
      <c r="H16" s="137">
        <v>16</v>
      </c>
    </row>
    <row r="17" spans="4:21">
      <c r="D17" s="78">
        <v>25</v>
      </c>
      <c r="E17" s="133">
        <v>1670</v>
      </c>
      <c r="F17" s="135">
        <v>1140</v>
      </c>
      <c r="G17" s="136"/>
      <c r="H17" s="137">
        <v>18</v>
      </c>
    </row>
    <row r="18" spans="4:21">
      <c r="D18" s="78">
        <v>22</v>
      </c>
      <c r="E18" s="133">
        <v>1530</v>
      </c>
      <c r="F18" s="135">
        <v>1060</v>
      </c>
      <c r="G18" s="136"/>
      <c r="H18" s="137">
        <v>18</v>
      </c>
    </row>
    <row r="19" spans="4:21">
      <c r="D19" s="78">
        <v>19</v>
      </c>
      <c r="E19" s="133">
        <v>1400</v>
      </c>
      <c r="F19" s="135">
        <f>F72/0.667</f>
        <v>989.50524737631179</v>
      </c>
      <c r="G19" s="136"/>
      <c r="H19" s="137">
        <v>21</v>
      </c>
    </row>
    <row r="20" spans="4:21">
      <c r="D20" s="78">
        <v>16.5</v>
      </c>
      <c r="E20" s="133">
        <v>1280</v>
      </c>
      <c r="F20" s="135">
        <v>920</v>
      </c>
      <c r="G20" s="136"/>
      <c r="H20" s="137">
        <v>21</v>
      </c>
    </row>
    <row r="21" spans="4:21" ht="13.5" thickBot="1">
      <c r="D21" s="138">
        <v>15</v>
      </c>
      <c r="E21" s="139">
        <v>1160</v>
      </c>
      <c r="F21" s="140">
        <v>850</v>
      </c>
      <c r="G21" s="141"/>
      <c r="H21" s="142">
        <v>21</v>
      </c>
    </row>
    <row r="22" spans="4:21" ht="13.5" thickTop="1">
      <c r="D22" s="143"/>
      <c r="E22" s="144"/>
      <c r="F22" s="145"/>
      <c r="G22" s="146"/>
      <c r="H22" s="147"/>
    </row>
    <row r="23" spans="4:21">
      <c r="D23" s="148"/>
      <c r="E23" s="149"/>
      <c r="F23" s="150"/>
      <c r="G23" s="3"/>
      <c r="H23" s="151"/>
    </row>
    <row r="24" spans="4:21">
      <c r="D24" s="148"/>
      <c r="E24" s="149"/>
      <c r="F24" s="150"/>
      <c r="G24" s="3"/>
      <c r="H24" s="151"/>
    </row>
    <row r="25" spans="4:21">
      <c r="D25" s="148"/>
      <c r="E25" s="149"/>
      <c r="F25" s="150"/>
      <c r="G25" s="3"/>
      <c r="H25" s="151"/>
    </row>
    <row r="26" spans="4:21">
      <c r="D26" s="148"/>
      <c r="E26" s="149"/>
      <c r="F26" s="150"/>
      <c r="G26" s="3"/>
      <c r="H26" s="151"/>
    </row>
    <row r="27" spans="4:21">
      <c r="D27" s="148"/>
      <c r="E27" s="149"/>
      <c r="F27" s="150"/>
      <c r="G27" s="3"/>
      <c r="H27" s="151"/>
    </row>
    <row r="28" spans="4:21" ht="15.75">
      <c r="D28" s="148"/>
      <c r="E28" s="149"/>
      <c r="F28" s="150"/>
      <c r="G28" s="3"/>
      <c r="H28" s="151"/>
      <c r="R28" s="134"/>
      <c r="S28" s="112"/>
      <c r="T28" s="112"/>
      <c r="U28" s="112"/>
    </row>
    <row r="29" spans="4:21">
      <c r="D29" s="148"/>
      <c r="E29" s="149"/>
      <c r="F29" s="150"/>
      <c r="G29" s="3"/>
      <c r="H29" s="151"/>
    </row>
    <row r="30" spans="4:21" ht="15">
      <c r="D30" s="148"/>
      <c r="E30" s="149"/>
      <c r="F30" s="150"/>
      <c r="G30" s="152"/>
      <c r="H30" s="15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4:21"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4:21"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0"/>
    </row>
    <row r="33" spans="7:19"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10"/>
    </row>
    <row r="53" spans="4:6" ht="13.5" thickBot="1"/>
    <row r="54" spans="4:6" ht="13.5" thickTop="1">
      <c r="D54" s="109" t="s">
        <v>38</v>
      </c>
      <c r="E54" s="110" t="s">
        <v>19</v>
      </c>
      <c r="F54" s="111" t="s">
        <v>37</v>
      </c>
    </row>
    <row r="55" spans="4:6">
      <c r="D55" s="105">
        <v>3</v>
      </c>
      <c r="E55" s="106">
        <f>2390</f>
        <v>2390</v>
      </c>
      <c r="F55" s="107">
        <v>1410</v>
      </c>
    </row>
    <row r="56" spans="4:6">
      <c r="D56" s="105">
        <v>4</v>
      </c>
      <c r="E56" s="106">
        <v>2360</v>
      </c>
      <c r="F56" s="107">
        <v>1390</v>
      </c>
    </row>
    <row r="57" spans="4:6">
      <c r="D57" s="105">
        <v>5</v>
      </c>
      <c r="E57" s="106">
        <v>2320</v>
      </c>
      <c r="F57" s="107">
        <v>1370</v>
      </c>
    </row>
    <row r="58" spans="4:6">
      <c r="D58" s="108">
        <v>6</v>
      </c>
      <c r="E58" s="106">
        <v>2280</v>
      </c>
      <c r="F58" s="107">
        <v>1340</v>
      </c>
    </row>
    <row r="59" spans="4:6">
      <c r="D59" s="78">
        <v>7</v>
      </c>
      <c r="E59" s="81">
        <v>2220</v>
      </c>
      <c r="F59" s="80">
        <v>1300</v>
      </c>
    </row>
    <row r="60" spans="4:6">
      <c r="D60" s="78">
        <v>8</v>
      </c>
      <c r="E60" s="81">
        <v>2160</v>
      </c>
      <c r="F60" s="80">
        <v>1260</v>
      </c>
    </row>
    <row r="61" spans="4:6">
      <c r="D61" s="78">
        <v>9</v>
      </c>
      <c r="E61" s="81">
        <v>2090</v>
      </c>
      <c r="F61" s="80">
        <v>1220</v>
      </c>
    </row>
    <row r="62" spans="4:6">
      <c r="D62" s="78">
        <v>10</v>
      </c>
      <c r="E62" s="81">
        <v>2010</v>
      </c>
      <c r="F62" s="80">
        <v>1170</v>
      </c>
    </row>
    <row r="63" spans="4:6">
      <c r="D63" s="78">
        <v>11</v>
      </c>
      <c r="E63" s="81">
        <v>1920</v>
      </c>
      <c r="F63" s="80">
        <v>1120</v>
      </c>
    </row>
    <row r="64" spans="4:6">
      <c r="D64" s="78">
        <v>12</v>
      </c>
      <c r="E64" s="81">
        <v>1830</v>
      </c>
      <c r="F64" s="80">
        <v>1070</v>
      </c>
    </row>
    <row r="65" spans="4:6">
      <c r="D65" s="78">
        <v>13</v>
      </c>
      <c r="E65" s="81">
        <v>1740</v>
      </c>
      <c r="F65" s="80">
        <v>1020</v>
      </c>
    </row>
    <row r="66" spans="4:6">
      <c r="D66" s="78">
        <v>14</v>
      </c>
      <c r="E66" s="81">
        <v>1640</v>
      </c>
      <c r="F66" s="80">
        <v>970</v>
      </c>
    </row>
    <row r="67" spans="4:6">
      <c r="D67" s="78">
        <v>15</v>
      </c>
      <c r="E67" s="81">
        <v>1540</v>
      </c>
      <c r="F67" s="80">
        <v>920</v>
      </c>
    </row>
    <row r="68" spans="4:6">
      <c r="D68" s="78">
        <v>16</v>
      </c>
      <c r="E68" s="81">
        <v>1440</v>
      </c>
      <c r="F68" s="80">
        <v>860</v>
      </c>
    </row>
    <row r="69" spans="4:6">
      <c r="D69" s="78">
        <v>17</v>
      </c>
      <c r="E69" s="81">
        <v>1330</v>
      </c>
      <c r="F69" s="80">
        <v>810</v>
      </c>
    </row>
    <row r="70" spans="4:6">
      <c r="D70" s="78">
        <v>18</v>
      </c>
      <c r="E70" s="81">
        <v>1230</v>
      </c>
      <c r="F70" s="80">
        <v>760</v>
      </c>
    </row>
    <row r="71" spans="4:6">
      <c r="D71" s="78">
        <v>19</v>
      </c>
      <c r="E71" s="81">
        <v>1130</v>
      </c>
      <c r="F71" s="80">
        <v>710</v>
      </c>
    </row>
    <row r="72" spans="4:6">
      <c r="D72" s="78">
        <v>20</v>
      </c>
      <c r="E72" s="81">
        <v>1040</v>
      </c>
      <c r="F72" s="80">
        <v>660</v>
      </c>
    </row>
    <row r="73" spans="4:6">
      <c r="D73" s="78">
        <v>21</v>
      </c>
      <c r="E73" s="81">
        <v>950</v>
      </c>
      <c r="F73" s="80">
        <v>610</v>
      </c>
    </row>
    <row r="74" spans="4:6">
      <c r="D74" s="78">
        <v>22</v>
      </c>
      <c r="E74" s="81">
        <v>860</v>
      </c>
      <c r="F74" s="80">
        <v>570</v>
      </c>
    </row>
    <row r="75" spans="4:6">
      <c r="D75" s="78">
        <v>23</v>
      </c>
      <c r="E75" s="81">
        <v>780</v>
      </c>
      <c r="F75" s="80">
        <v>520</v>
      </c>
    </row>
    <row r="76" spans="4:6">
      <c r="D76" s="78">
        <v>24</v>
      </c>
      <c r="E76" s="81">
        <v>700</v>
      </c>
      <c r="F76" s="80">
        <v>490</v>
      </c>
    </row>
    <row r="77" spans="4:6">
      <c r="D77" s="78">
        <v>25</v>
      </c>
      <c r="E77" s="81">
        <v>640</v>
      </c>
      <c r="F77" s="80">
        <v>450</v>
      </c>
    </row>
    <row r="78" spans="4:6">
      <c r="D78" s="78">
        <v>26</v>
      </c>
      <c r="E78" s="81">
        <v>580</v>
      </c>
      <c r="F78" s="80">
        <v>420</v>
      </c>
    </row>
    <row r="79" spans="4:6">
      <c r="D79" s="78">
        <v>27</v>
      </c>
      <c r="E79" s="81">
        <v>530</v>
      </c>
      <c r="F79" s="80">
        <v>390</v>
      </c>
    </row>
    <row r="80" spans="4:6">
      <c r="D80" s="78">
        <v>28</v>
      </c>
      <c r="E80" s="81">
        <v>490</v>
      </c>
      <c r="F80" s="80">
        <v>370</v>
      </c>
    </row>
    <row r="81" spans="4:6">
      <c r="D81" s="78">
        <v>29</v>
      </c>
      <c r="E81" s="81">
        <v>470</v>
      </c>
      <c r="F81" s="80">
        <v>350</v>
      </c>
    </row>
    <row r="82" spans="4:6">
      <c r="D82" s="82">
        <v>30</v>
      </c>
      <c r="E82" s="83">
        <v>460</v>
      </c>
      <c r="F82" s="84">
        <v>340</v>
      </c>
    </row>
    <row r="83" spans="4:6" ht="13.5" thickBot="1">
      <c r="D83" s="85">
        <v>31</v>
      </c>
      <c r="E83" s="86">
        <v>440</v>
      </c>
      <c r="F83" s="87">
        <v>340</v>
      </c>
    </row>
    <row r="84" spans="4:6" ht="13.5" thickTop="1"/>
  </sheetData>
  <sheetProtection sheet="1" objects="1" scenarios="1"/>
  <phoneticPr fontId="1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Dell Laptop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Kozma</dc:creator>
  <cp:lastModifiedBy>WY2U_mike</cp:lastModifiedBy>
  <dcterms:created xsi:type="dcterms:W3CDTF">2014-10-12T13:41:42Z</dcterms:created>
  <dcterms:modified xsi:type="dcterms:W3CDTF">2018-01-07T03:19:56Z</dcterms:modified>
</cp:coreProperties>
</file>